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deeedc-my.sharepoint.com/personal/kristischierling_hardeeedc_onmicrosoft_com/Documents/EDC IDA Agendas/"/>
    </mc:Choice>
  </mc:AlternateContent>
  <xr:revisionPtr revIDLastSave="8" documentId="11_9C33C16FE033CE437BE46AF196751AF621363B36" xr6:coauthVersionLast="47" xr6:coauthVersionMax="47" xr10:uidLastSave="{59BF9D15-25AD-45CA-9B2C-FDA32F477185}"/>
  <bookViews>
    <workbookView xWindow="-108" yWindow="-108" windowWidth="23256" windowHeight="12456" xr2:uid="{00000000-000D-0000-FFFF-FFFF00000000}"/>
  </bookViews>
  <sheets>
    <sheet name="FY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3" i="1" l="1"/>
  <c r="W47" i="1" s="1"/>
  <c r="W25" i="1"/>
  <c r="W12" i="1"/>
  <c r="W15" i="1" s="1"/>
  <c r="W27" i="1" l="1"/>
  <c r="W51" i="1"/>
  <c r="Y15" i="1"/>
  <c r="X12" i="1" l="1"/>
  <c r="V12" i="1"/>
  <c r="U12" i="1"/>
  <c r="U15" i="1" s="1"/>
  <c r="T12" i="1"/>
  <c r="T15" i="1" s="1"/>
  <c r="S12" i="1"/>
  <c r="S15" i="1" s="1"/>
  <c r="R12" i="1"/>
  <c r="R15" i="1" s="1"/>
  <c r="Q12" i="1"/>
  <c r="Q15" i="1" s="1"/>
  <c r="P12" i="1"/>
  <c r="P15" i="1" s="1"/>
  <c r="O12" i="1"/>
  <c r="N12" i="1"/>
  <c r="V43" i="1"/>
  <c r="V47" i="1" s="1"/>
  <c r="V25" i="1"/>
  <c r="V15" i="1"/>
  <c r="V27" i="1" s="1"/>
  <c r="O15" i="1"/>
  <c r="N15" i="1"/>
  <c r="K43" i="1"/>
  <c r="I43" i="1"/>
  <c r="H43" i="1"/>
  <c r="G43" i="1"/>
  <c r="F43" i="1"/>
  <c r="E43" i="1"/>
  <c r="V51" i="1" l="1"/>
  <c r="H12" i="1"/>
  <c r="Z46" i="1" l="1"/>
  <c r="Z42" i="1"/>
  <c r="I47" i="1"/>
  <c r="I12" i="1"/>
  <c r="I18" i="1" s="1"/>
  <c r="I25" i="1" s="1"/>
  <c r="I27" i="1" s="1"/>
  <c r="I51" i="1" l="1"/>
  <c r="S43" i="1"/>
  <c r="S47" i="1" s="1"/>
  <c r="S25" i="1"/>
  <c r="S27" i="1" s="1"/>
  <c r="R43" i="1"/>
  <c r="R47" i="1" s="1"/>
  <c r="R25" i="1"/>
  <c r="R27" i="1" s="1"/>
  <c r="S51" i="1" l="1"/>
  <c r="R51" i="1"/>
  <c r="Z23" i="1"/>
  <c r="K47" i="1"/>
  <c r="L23" i="1"/>
  <c r="AA23" i="1" l="1"/>
  <c r="H47" i="1"/>
  <c r="H25" i="1"/>
  <c r="H27" i="1" s="1"/>
  <c r="H51" i="1" s="1"/>
  <c r="M25" i="1" l="1"/>
  <c r="M27" i="1" s="1"/>
  <c r="M43" i="1"/>
  <c r="M12" i="1"/>
  <c r="M47" i="1" l="1"/>
  <c r="M51" i="1"/>
  <c r="G47" i="1"/>
  <c r="G25" i="1"/>
  <c r="G27" i="1" s="1"/>
  <c r="G12" i="1"/>
  <c r="G51" i="1" l="1"/>
  <c r="X15" i="1" l="1"/>
  <c r="Z15" i="1" s="1"/>
  <c r="L46" i="1"/>
  <c r="AA46" i="1" l="1"/>
  <c r="U43" i="1" l="1"/>
  <c r="U47" i="1" s="1"/>
  <c r="U25" i="1"/>
  <c r="U27" i="1" l="1"/>
  <c r="U51" i="1" s="1"/>
  <c r="E12" i="1"/>
  <c r="E18" i="1" s="1"/>
  <c r="F12" i="1"/>
  <c r="F18" i="1" s="1"/>
  <c r="F47" i="1" l="1"/>
  <c r="E47" i="1"/>
  <c r="F25" i="1"/>
  <c r="F27" i="1" s="1"/>
  <c r="E25" i="1"/>
  <c r="E27" i="1" s="1"/>
  <c r="E51" i="1" l="1"/>
  <c r="F51" i="1"/>
  <c r="X43" i="1" l="1"/>
  <c r="X47" i="1" s="1"/>
  <c r="X25" i="1"/>
  <c r="X27" i="1" s="1"/>
  <c r="Z38" i="1"/>
  <c r="N43" i="1"/>
  <c r="N47" i="1" s="1"/>
  <c r="P43" i="1"/>
  <c r="P47" i="1" s="1"/>
  <c r="P25" i="1"/>
  <c r="P27" i="1" s="1"/>
  <c r="N25" i="1"/>
  <c r="N27" i="1" s="1"/>
  <c r="T43" i="1"/>
  <c r="T47" i="1" s="1"/>
  <c r="T25" i="1"/>
  <c r="T27" i="1" s="1"/>
  <c r="L38" i="1"/>
  <c r="Z32" i="1"/>
  <c r="Z31" i="1"/>
  <c r="Q43" i="1"/>
  <c r="Q47" i="1" s="1"/>
  <c r="Q25" i="1"/>
  <c r="Q27" i="1" s="1"/>
  <c r="L15" i="1"/>
  <c r="AA15" i="1" s="1"/>
  <c r="Z19" i="1"/>
  <c r="L32" i="1"/>
  <c r="L31" i="1"/>
  <c r="L33" i="1"/>
  <c r="Z33" i="1"/>
  <c r="T51" i="1" l="1"/>
  <c r="Q51" i="1"/>
  <c r="N51" i="1"/>
  <c r="P51" i="1"/>
  <c r="X51" i="1"/>
  <c r="AA38" i="1"/>
  <c r="AA32" i="1"/>
  <c r="AA31" i="1"/>
  <c r="AA33" i="1"/>
  <c r="Z41" i="1" l="1"/>
  <c r="L41" i="1"/>
  <c r="Z20" i="1"/>
  <c r="L20" i="1"/>
  <c r="J43" i="1"/>
  <c r="J47" i="1" s="1"/>
  <c r="O43" i="1"/>
  <c r="O47" i="1" s="1"/>
  <c r="O25" i="1"/>
  <c r="O27" i="1" s="1"/>
  <c r="O51" i="1" l="1"/>
  <c r="AA20" i="1"/>
  <c r="AA41" i="1"/>
  <c r="J25" i="1"/>
  <c r="Z40" i="1"/>
  <c r="L40" i="1"/>
  <c r="Z39" i="1"/>
  <c r="L39" i="1"/>
  <c r="Z37" i="1"/>
  <c r="L37" i="1"/>
  <c r="Z36" i="1"/>
  <c r="L36" i="1"/>
  <c r="Z35" i="1"/>
  <c r="L35" i="1"/>
  <c r="Z34" i="1"/>
  <c r="L34" i="1"/>
  <c r="Z30" i="1"/>
  <c r="L30" i="1"/>
  <c r="K25" i="1"/>
  <c r="Z24" i="1"/>
  <c r="L24" i="1"/>
  <c r="Z22" i="1"/>
  <c r="L22" i="1"/>
  <c r="Z21" i="1"/>
  <c r="L21" i="1"/>
  <c r="L19" i="1"/>
  <c r="Z18" i="1"/>
  <c r="L18" i="1"/>
  <c r="J10" i="1"/>
  <c r="Z9" i="1"/>
  <c r="Y8" i="1"/>
  <c r="Z8" i="1" s="1"/>
  <c r="K8" i="1"/>
  <c r="K10" i="1" s="1"/>
  <c r="Y7" i="1"/>
  <c r="Z7" i="1" s="1"/>
  <c r="L7" i="1"/>
  <c r="AA7" i="1" s="1"/>
  <c r="AA21" i="1" l="1"/>
  <c r="L25" i="1"/>
  <c r="AA18" i="1"/>
  <c r="AA19" i="1"/>
  <c r="AA30" i="1"/>
  <c r="L8" i="1"/>
  <c r="AA8" i="1" s="1"/>
  <c r="L42" i="1"/>
  <c r="AA42" i="1" s="1"/>
  <c r="L9" i="1"/>
  <c r="AA9" i="1" s="1"/>
  <c r="AA22" i="1"/>
  <c r="Y25" i="1"/>
  <c r="Y27" i="1" s="1"/>
  <c r="AA34" i="1"/>
  <c r="AA39" i="1"/>
  <c r="Y43" i="1"/>
  <c r="Y47" i="1" s="1"/>
  <c r="AA37" i="1"/>
  <c r="AA36" i="1"/>
  <c r="AA35" i="1"/>
  <c r="AA24" i="1"/>
  <c r="Y10" i="1"/>
  <c r="Z10" i="1" s="1"/>
  <c r="Z25" i="1"/>
  <c r="Z27" i="1" s="1"/>
  <c r="AA40" i="1"/>
  <c r="L10" i="1"/>
  <c r="AA10" i="1" s="1"/>
  <c r="Z43" i="1"/>
  <c r="Z47" i="1" s="1"/>
  <c r="K27" i="1"/>
  <c r="K51" i="1" s="1"/>
  <c r="AA43" i="1" l="1"/>
  <c r="AA47" i="1" s="1"/>
  <c r="Y51" i="1"/>
  <c r="Z51" i="1"/>
  <c r="L47" i="1"/>
  <c r="L43" i="1"/>
  <c r="L27" i="1"/>
  <c r="J27" i="1"/>
  <c r="J51" i="1" s="1"/>
  <c r="AA25" i="1"/>
  <c r="L51" i="1" l="1"/>
  <c r="AA27" i="1"/>
  <c r="AA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tfloyd</author>
    <author>Charles P. Cox</author>
  </authors>
  <commentList>
    <comment ref="K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tfloyd:</t>
        </r>
        <r>
          <rPr>
            <sz val="9"/>
            <color indexed="81"/>
            <rFont val="Tahoma"/>
            <family val="2"/>
          </rPr>
          <t xml:space="preserve">
$100,000 Mosaic transfer to GF.  Remaining is cash balance from FB rollforward as of 7.30.12 - noting no major cash inflow or outflow expected through 9.30.12 besides the $800,000 EDA to be reimbursed.  Currently paid out of Mosaic cash balance.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tfloyd:</t>
        </r>
        <r>
          <rPr>
            <sz val="9"/>
            <color indexed="81"/>
            <rFont val="Tahoma"/>
            <family val="2"/>
          </rPr>
          <t xml:space="preserve">
Property Management $24,400</t>
        </r>
      </text>
    </comment>
    <comment ref="Y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tfloyd:</t>
        </r>
        <r>
          <rPr>
            <sz val="9"/>
            <color indexed="81"/>
            <rFont val="Tahoma"/>
            <family val="2"/>
          </rPr>
          <t xml:space="preserve">
Transfer out to GF</t>
        </r>
      </text>
    </comment>
    <comment ref="K24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Charles P. Cox:</t>
        </r>
        <r>
          <rPr>
            <sz val="8"/>
            <color indexed="81"/>
            <rFont val="Tahoma"/>
            <family val="2"/>
          </rPr>
          <t xml:space="preserve">
Tranfer from special revenue to general fund for admin expenes per Mosaic agreement.</t>
        </r>
      </text>
    </comment>
  </commentList>
</comments>
</file>

<file path=xl/sharedStrings.xml><?xml version="1.0" encoding="utf-8"?>
<sst xmlns="http://schemas.openxmlformats.org/spreadsheetml/2006/main" count="77" uniqueCount="65">
  <si>
    <t>General Fund - Other</t>
  </si>
  <si>
    <t>Total Estimated General Fund</t>
  </si>
  <si>
    <t>Total Estimated Special Revenue</t>
  </si>
  <si>
    <t>Total Grant Award</t>
  </si>
  <si>
    <t>Cash Carryforward as of 9/30/11</t>
  </si>
  <si>
    <t>Plus Estimated Revenue as of 9/30/12</t>
  </si>
  <si>
    <t>Less Estimated Expense as of 9/30/12</t>
  </si>
  <si>
    <t>Estimated Cash Carryforward as of 9/30/12</t>
  </si>
  <si>
    <t>Estimated Revenue</t>
  </si>
  <si>
    <t xml:space="preserve">Interest Income </t>
  </si>
  <si>
    <t>Misc. Income</t>
  </si>
  <si>
    <t>Mosaic Income</t>
  </si>
  <si>
    <t>Total Estimated Revenue</t>
  </si>
  <si>
    <t>Total Fund Balance CF &amp; Estimated Revenue</t>
  </si>
  <si>
    <t>Appropriations</t>
  </si>
  <si>
    <t xml:space="preserve">Landscaping and Grounds </t>
  </si>
  <si>
    <t>Utilities</t>
  </si>
  <si>
    <t>Insurance Expense</t>
  </si>
  <si>
    <t>Repairs and Maintenance</t>
  </si>
  <si>
    <t>Advertising</t>
  </si>
  <si>
    <t xml:space="preserve">Property Taxes </t>
  </si>
  <si>
    <t>Capital Outlay</t>
  </si>
  <si>
    <t>Total Appropriations</t>
  </si>
  <si>
    <t>Mosaic Funds to be Awarded / Appropriatied</t>
  </si>
  <si>
    <t>Other Mosaic Activity &amp;</t>
  </si>
  <si>
    <t>IDA Marketing</t>
  </si>
  <si>
    <t>Transfers Out - EDC</t>
  </si>
  <si>
    <t xml:space="preserve">Rental Income </t>
  </si>
  <si>
    <t>Meeting Security</t>
  </si>
  <si>
    <t>Professional Fees</t>
  </si>
  <si>
    <t>Travel</t>
  </si>
  <si>
    <t>Ag Test Plot</t>
  </si>
  <si>
    <t>Hogan Street</t>
  </si>
  <si>
    <t xml:space="preserve">Grant Proceeds </t>
  </si>
  <si>
    <t>South Ft. Meade -Mosaic Appropriation</t>
  </si>
  <si>
    <t>TOTAL ESTIMATED GF &amp; SR FUNDS</t>
  </si>
  <si>
    <t>Grant Expenditures</t>
  </si>
  <si>
    <t>Property Management</t>
  </si>
  <si>
    <t xml:space="preserve">EDA Grant - FYE 2020 </t>
  </si>
  <si>
    <t>EDA Grant - FYE 2020</t>
  </si>
  <si>
    <t>Transfers Out - GF</t>
  </si>
  <si>
    <t>Transfer In - Ona Mine Fund</t>
  </si>
  <si>
    <t>CRA - Palmetto 8</t>
  </si>
  <si>
    <t>Water/Sewer Utilities Feasibility Study</t>
  </si>
  <si>
    <t>EDA Grant - FYE 2022</t>
  </si>
  <si>
    <t>Administrative Supplement</t>
  </si>
  <si>
    <t>Transfer IN - S Ft Meade Mine Fund</t>
  </si>
  <si>
    <t>Spec Building 8 - Main &amp; 17</t>
  </si>
  <si>
    <t>Florida Job Growth Grant</t>
  </si>
  <si>
    <t>State of Florida Grant</t>
  </si>
  <si>
    <t xml:space="preserve">R. Riveter LLC </t>
  </si>
  <si>
    <t>126 W. Main St</t>
  </si>
  <si>
    <t>Fiscal Years Grant Expenditures estimated through 9/30/22</t>
  </si>
  <si>
    <t>Grant Award Available for FY 2023</t>
  </si>
  <si>
    <t>Fund Balance Estimated Carryforward to FY 2024</t>
  </si>
  <si>
    <t>Total Appropriations and Fund Balance CF to FY 2024</t>
  </si>
  <si>
    <t xml:space="preserve">Commerce Park Expansion </t>
  </si>
  <si>
    <t>Spec Building 9 - Lott 27</t>
  </si>
  <si>
    <t>Spec Building 11</t>
  </si>
  <si>
    <t>Spec Building 12</t>
  </si>
  <si>
    <t>Spec Building 9 - Lot 27</t>
  </si>
  <si>
    <t>Ag Research/   Education Funding</t>
  </si>
  <si>
    <t>Spec Building 13</t>
  </si>
  <si>
    <t>Estimated Fund Balance Carryforward as of 10/1/22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</si>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</sst>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49" fontId="2" fillId="0" borderId="0" xfId="0" applyNumberFormat="1" applyFont="1"/>
    <xf numFmtId="0" fontId="4" fillId="0" borderId="0" xfId="0" applyFont="1"/>
    <xf numFmtId="164" fontId="4" fillId="2" borderId="0" xfId="1" applyNumberFormat="1" applyFont="1" applyFill="1"/>
    <xf numFmtId="49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164" fontId="4" fillId="3" borderId="0" xfId="1" applyNumberFormat="1" applyFont="1" applyFill="1" applyAlignment="1">
      <alignment horizontal="center" wrapText="1"/>
    </xf>
    <xf numFmtId="164" fontId="4" fillId="2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2" fillId="3" borderId="1" xfId="1" applyNumberFormat="1" applyFont="1" applyFill="1" applyBorder="1" applyAlignment="1">
      <alignment horizontal="center" wrapText="1"/>
    </xf>
    <xf numFmtId="164" fontId="2" fillId="4" borderId="1" xfId="1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165" fontId="2" fillId="0" borderId="0" xfId="2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2" fillId="3" borderId="0" xfId="1" applyNumberFormat="1" applyFont="1" applyFill="1" applyBorder="1" applyAlignment="1">
      <alignment horizontal="center" wrapText="1"/>
    </xf>
    <xf numFmtId="164" fontId="2" fillId="4" borderId="0" xfId="1" applyNumberFormat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Border="1" applyAlignment="1">
      <alignment horizontal="center" wrapText="1"/>
    </xf>
    <xf numFmtId="164" fontId="5" fillId="3" borderId="0" xfId="1" applyNumberFormat="1" applyFont="1" applyFill="1"/>
    <xf numFmtId="164" fontId="5" fillId="4" borderId="0" xfId="1" applyNumberFormat="1" applyFont="1" applyFill="1" applyBorder="1" applyAlignment="1">
      <alignment horizontal="center" wrapText="1"/>
    </xf>
    <xf numFmtId="164" fontId="5" fillId="2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2" xfId="1" applyNumberFormat="1" applyFont="1" applyFill="1" applyBorder="1" applyAlignment="1">
      <alignment horizontal="center" wrapText="1"/>
    </xf>
    <xf numFmtId="164" fontId="5" fillId="0" borderId="2" xfId="1" applyNumberFormat="1" applyFont="1" applyBorder="1" applyAlignment="1">
      <alignment horizontal="center" wrapText="1"/>
    </xf>
    <xf numFmtId="164" fontId="5" fillId="3" borderId="2" xfId="1" applyNumberFormat="1" applyFont="1" applyFill="1" applyBorder="1"/>
    <xf numFmtId="164" fontId="5" fillId="4" borderId="2" xfId="1" applyNumberFormat="1" applyFont="1" applyFill="1" applyBorder="1" applyAlignment="1">
      <alignment horizontal="center" wrapText="1"/>
    </xf>
    <xf numFmtId="164" fontId="5" fillId="2" borderId="2" xfId="1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 wrapText="1"/>
    </xf>
    <xf numFmtId="41" fontId="5" fillId="0" borderId="0" xfId="1" applyNumberFormat="1" applyFont="1" applyFill="1"/>
    <xf numFmtId="41" fontId="5" fillId="0" borderId="0" xfId="1" applyNumberFormat="1" applyFont="1" applyFill="1" applyBorder="1"/>
    <xf numFmtId="41" fontId="5" fillId="3" borderId="0" xfId="1" applyNumberFormat="1" applyFont="1" applyFill="1" applyBorder="1"/>
    <xf numFmtId="41" fontId="5" fillId="4" borderId="0" xfId="1" applyNumberFormat="1" applyFont="1" applyFill="1" applyBorder="1" applyAlignment="1">
      <alignment horizontal="center" wrapText="1"/>
    </xf>
    <xf numFmtId="41" fontId="5" fillId="2" borderId="0" xfId="1" applyNumberFormat="1" applyFont="1" applyFill="1" applyBorder="1" applyAlignment="1">
      <alignment horizontal="center"/>
    </xf>
    <xf numFmtId="41" fontId="5" fillId="0" borderId="0" xfId="1" applyNumberFormat="1" applyFont="1"/>
    <xf numFmtId="41" fontId="5" fillId="3" borderId="0" xfId="1" applyNumberFormat="1" applyFont="1" applyFill="1"/>
    <xf numFmtId="41" fontId="5" fillId="4" borderId="0" xfId="1" applyNumberFormat="1" applyFont="1" applyFill="1"/>
    <xf numFmtId="41" fontId="5" fillId="2" borderId="0" xfId="1" applyNumberFormat="1" applyFont="1" applyFill="1"/>
    <xf numFmtId="41" fontId="5" fillId="0" borderId="0" xfId="1" applyNumberFormat="1" applyFont="1" applyBorder="1"/>
    <xf numFmtId="41" fontId="5" fillId="0" borderId="4" xfId="1" applyNumberFormat="1" applyFont="1" applyBorder="1"/>
    <xf numFmtId="41" fontId="5" fillId="3" borderId="4" xfId="1" applyNumberFormat="1" applyFont="1" applyFill="1" applyBorder="1"/>
    <xf numFmtId="41" fontId="5" fillId="4" borderId="4" xfId="1" applyNumberFormat="1" applyFont="1" applyFill="1" applyBorder="1"/>
    <xf numFmtId="41" fontId="5" fillId="2" borderId="4" xfId="1" applyNumberFormat="1" applyFont="1" applyFill="1" applyBorder="1"/>
    <xf numFmtId="41" fontId="5" fillId="3" borderId="5" xfId="1" applyNumberFormat="1" applyFont="1" applyFill="1" applyBorder="1"/>
    <xf numFmtId="41" fontId="5" fillId="4" borderId="0" xfId="1" applyNumberFormat="1" applyFont="1" applyFill="1" applyBorder="1"/>
    <xf numFmtId="41" fontId="5" fillId="2" borderId="0" xfId="1" applyNumberFormat="1" applyFont="1" applyFill="1" applyBorder="1"/>
    <xf numFmtId="41" fontId="5" fillId="0" borderId="5" xfId="1" applyNumberFormat="1" applyFont="1" applyBorder="1"/>
    <xf numFmtId="41" fontId="5" fillId="4" borderId="5" xfId="1" applyNumberFormat="1" applyFont="1" applyFill="1" applyBorder="1"/>
    <xf numFmtId="41" fontId="5" fillId="2" borderId="5" xfId="1" applyNumberFormat="1" applyFont="1" applyFill="1" applyBorder="1"/>
    <xf numFmtId="41" fontId="2" fillId="0" borderId="6" xfId="1" applyNumberFormat="1" applyFont="1" applyBorder="1"/>
    <xf numFmtId="41" fontId="2" fillId="3" borderId="6" xfId="1" applyNumberFormat="1" applyFont="1" applyFill="1" applyBorder="1"/>
    <xf numFmtId="0" fontId="2" fillId="0" borderId="0" xfId="0" applyFont="1"/>
    <xf numFmtId="41" fontId="2" fillId="0" borderId="0" xfId="1" applyNumberFormat="1" applyFont="1" applyBorder="1"/>
    <xf numFmtId="41" fontId="2" fillId="3" borderId="0" xfId="1" applyNumberFormat="1" applyFont="1" applyFill="1" applyBorder="1"/>
    <xf numFmtId="41" fontId="2" fillId="4" borderId="0" xfId="1" applyNumberFormat="1" applyFont="1" applyFill="1" applyBorder="1"/>
    <xf numFmtId="41" fontId="2" fillId="2" borderId="0" xfId="1" applyNumberFormat="1" applyFont="1" applyFill="1" applyBorder="1"/>
    <xf numFmtId="41" fontId="4" fillId="0" borderId="0" xfId="1" applyNumberFormat="1" applyFont="1"/>
    <xf numFmtId="41" fontId="4" fillId="3" borderId="0" xfId="1" applyNumberFormat="1" applyFont="1" applyFill="1"/>
    <xf numFmtId="164" fontId="4" fillId="0" borderId="0" xfId="1" applyNumberFormat="1" applyFont="1" applyFill="1"/>
    <xf numFmtId="165" fontId="2" fillId="0" borderId="0" xfId="2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1" fontId="5" fillId="0" borderId="7" xfId="1" applyNumberFormat="1" applyFont="1" applyBorder="1"/>
    <xf numFmtId="41" fontId="5" fillId="3" borderId="7" xfId="1" applyNumberFormat="1" applyFont="1" applyFill="1" applyBorder="1"/>
    <xf numFmtId="41" fontId="5" fillId="4" borderId="7" xfId="1" applyNumberFormat="1" applyFont="1" applyFill="1" applyBorder="1"/>
    <xf numFmtId="41" fontId="5" fillId="2" borderId="7" xfId="1" applyNumberFormat="1" applyFont="1" applyFill="1" applyBorder="1"/>
    <xf numFmtId="164" fontId="2" fillId="0" borderId="0" xfId="1" applyNumberFormat="1" applyFont="1" applyFill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41" fontId="5" fillId="0" borderId="4" xfId="1" applyNumberFormat="1" applyFont="1" applyFill="1" applyBorder="1"/>
    <xf numFmtId="41" fontId="5" fillId="0" borderId="7" xfId="1" applyNumberFormat="1" applyFont="1" applyFill="1" applyBorder="1"/>
    <xf numFmtId="41" fontId="5" fillId="0" borderId="5" xfId="1" applyNumberFormat="1" applyFont="1" applyFill="1" applyBorder="1"/>
    <xf numFmtId="41" fontId="2" fillId="0" borderId="0" xfId="1" applyNumberFormat="1" applyFont="1" applyFill="1" applyBorder="1"/>
    <xf numFmtId="41" fontId="4" fillId="0" borderId="0" xfId="1" applyNumberFormat="1" applyFont="1" applyFill="1"/>
    <xf numFmtId="41" fontId="2" fillId="0" borderId="6" xfId="1" applyNumberFormat="1" applyFont="1" applyFill="1" applyBorder="1"/>
    <xf numFmtId="164" fontId="5" fillId="0" borderId="0" xfId="1" applyNumberFormat="1" applyFont="1" applyFill="1"/>
    <xf numFmtId="164" fontId="2" fillId="0" borderId="0" xfId="1" applyNumberFormat="1" applyFont="1" applyFill="1" applyBorder="1"/>
    <xf numFmtId="41" fontId="5" fillId="5" borderId="0" xfId="1" applyNumberFormat="1" applyFont="1" applyFill="1"/>
    <xf numFmtId="164" fontId="5" fillId="5" borderId="3" xfId="1" applyNumberFormat="1" applyFont="1" applyFill="1" applyBorder="1" applyAlignment="1">
      <alignment horizontal="center" wrapText="1"/>
    </xf>
    <xf numFmtId="164" fontId="3" fillId="2" borderId="0" xfId="1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topLeftCell="P14" zoomScaleNormal="100" workbookViewId="0">
      <selection activeCell="T44" sqref="T44"/>
    </sheetView>
  </sheetViews>
  <sheetFormatPr defaultColWidth="9.109375" defaultRowHeight="12" x14ac:dyDescent="0.25"/>
  <cols>
    <col min="1" max="3" width="2" style="1" customWidth="1"/>
    <col min="4" max="4" width="44.109375" style="1" customWidth="1"/>
    <col min="5" max="9" width="11.5546875" style="60" customWidth="1"/>
    <col min="10" max="10" width="11.33203125" style="60" customWidth="1"/>
    <col min="11" max="11" width="12" style="60" bestFit="1" customWidth="1"/>
    <col min="12" max="12" width="11.5546875" style="60" bestFit="1" customWidth="1"/>
    <col min="13" max="13" width="12.5546875" style="60" customWidth="1"/>
    <col min="14" max="14" width="12" style="60" customWidth="1"/>
    <col min="15" max="15" width="12" style="60" bestFit="1" customWidth="1"/>
    <col min="16" max="16" width="12" style="60" customWidth="1"/>
    <col min="17" max="17" width="12" style="60" bestFit="1" customWidth="1"/>
    <col min="18" max="25" width="12" style="60" customWidth="1"/>
    <col min="26" max="27" width="11.5546875" style="60" bestFit="1" customWidth="1"/>
    <col min="28" max="28" width="9.109375" style="2"/>
    <col min="29" max="29" width="10.5546875" style="2" bestFit="1" customWidth="1"/>
    <col min="30" max="16384" width="9.109375" style="2"/>
  </cols>
  <sheetData>
    <row r="1" spans="1:29" x14ac:dyDescent="0.25"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9" x14ac:dyDescent="0.25"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3"/>
    </row>
    <row r="3" spans="1:29" s="8" customFormat="1" ht="58.5" customHeight="1" x14ac:dyDescent="0.25">
      <c r="A3" s="4"/>
      <c r="B3" s="4"/>
      <c r="C3" s="4"/>
      <c r="D3" s="4"/>
      <c r="E3" s="67" t="s">
        <v>57</v>
      </c>
      <c r="F3" s="5" t="s">
        <v>56</v>
      </c>
      <c r="G3" s="5" t="s">
        <v>50</v>
      </c>
      <c r="H3" s="5" t="s">
        <v>43</v>
      </c>
      <c r="I3" s="5" t="s">
        <v>48</v>
      </c>
      <c r="J3" s="5" t="s">
        <v>37</v>
      </c>
      <c r="K3" s="5" t="s">
        <v>0</v>
      </c>
      <c r="L3" s="6"/>
      <c r="M3" s="67" t="s">
        <v>45</v>
      </c>
      <c r="N3" s="5" t="s">
        <v>42</v>
      </c>
      <c r="O3" s="5" t="s">
        <v>25</v>
      </c>
      <c r="P3" s="5" t="s">
        <v>32</v>
      </c>
      <c r="Q3" s="5" t="s">
        <v>31</v>
      </c>
      <c r="R3" s="5" t="s">
        <v>61</v>
      </c>
      <c r="S3" s="5" t="s">
        <v>51</v>
      </c>
      <c r="T3" s="67" t="s">
        <v>47</v>
      </c>
      <c r="U3" s="67" t="s">
        <v>60</v>
      </c>
      <c r="V3" s="67" t="s">
        <v>58</v>
      </c>
      <c r="W3" s="67" t="s">
        <v>59</v>
      </c>
      <c r="X3" s="67" t="s">
        <v>62</v>
      </c>
      <c r="Y3" s="5" t="s">
        <v>24</v>
      </c>
      <c r="Z3" s="5"/>
      <c r="AA3" s="7"/>
    </row>
    <row r="4" spans="1:29" s="8" customFormat="1" ht="48.6" thickBot="1" x14ac:dyDescent="0.3">
      <c r="A4" s="4"/>
      <c r="B4" s="4"/>
      <c r="C4" s="4"/>
      <c r="D4" s="4"/>
      <c r="E4" s="62" t="s">
        <v>38</v>
      </c>
      <c r="F4" s="62" t="s">
        <v>38</v>
      </c>
      <c r="G4" s="62" t="s">
        <v>39</v>
      </c>
      <c r="H4" s="62" t="s">
        <v>44</v>
      </c>
      <c r="I4" s="62" t="s">
        <v>49</v>
      </c>
      <c r="J4" s="62"/>
      <c r="K4" s="9"/>
      <c r="L4" s="10" t="s">
        <v>1</v>
      </c>
      <c r="M4" s="11" t="s">
        <v>34</v>
      </c>
      <c r="N4" s="11" t="s">
        <v>34</v>
      </c>
      <c r="O4" s="11" t="s">
        <v>34</v>
      </c>
      <c r="P4" s="11" t="s">
        <v>34</v>
      </c>
      <c r="Q4" s="11" t="s">
        <v>34</v>
      </c>
      <c r="R4" s="11" t="s">
        <v>34</v>
      </c>
      <c r="S4" s="11" t="s">
        <v>34</v>
      </c>
      <c r="T4" s="11" t="s">
        <v>34</v>
      </c>
      <c r="U4" s="11" t="s">
        <v>34</v>
      </c>
      <c r="V4" s="11" t="s">
        <v>34</v>
      </c>
      <c r="W4" s="11" t="s">
        <v>34</v>
      </c>
      <c r="X4" s="11" t="s">
        <v>34</v>
      </c>
      <c r="Y4" s="11" t="s">
        <v>23</v>
      </c>
      <c r="Z4" s="11" t="s">
        <v>2</v>
      </c>
      <c r="AA4" s="12" t="s">
        <v>35</v>
      </c>
    </row>
    <row r="5" spans="1:29" s="8" customFormat="1" ht="24.75" customHeight="1" thickTop="1" x14ac:dyDescent="0.25">
      <c r="A5" s="13" t="s">
        <v>3</v>
      </c>
      <c r="B5" s="4"/>
      <c r="C5" s="4"/>
      <c r="D5" s="4"/>
      <c r="E5" s="14">
        <v>1000000</v>
      </c>
      <c r="F5" s="14">
        <v>2000000</v>
      </c>
      <c r="G5" s="14">
        <v>500000</v>
      </c>
      <c r="H5" s="14">
        <v>300000</v>
      </c>
      <c r="I5" s="14">
        <v>2360000</v>
      </c>
      <c r="J5" s="15"/>
      <c r="K5" s="15"/>
      <c r="L5" s="16"/>
      <c r="M5" s="14">
        <v>212500</v>
      </c>
      <c r="N5" s="14">
        <v>200000</v>
      </c>
      <c r="O5" s="14">
        <v>150000</v>
      </c>
      <c r="P5" s="14">
        <v>1000000</v>
      </c>
      <c r="Q5" s="61">
        <v>25000</v>
      </c>
      <c r="R5" s="61">
        <v>75000</v>
      </c>
      <c r="S5" s="61">
        <v>250000</v>
      </c>
      <c r="T5" s="61">
        <v>725000</v>
      </c>
      <c r="U5" s="61">
        <v>1000000</v>
      </c>
      <c r="V5" s="61">
        <v>5000000</v>
      </c>
      <c r="W5" s="61">
        <v>2500000</v>
      </c>
      <c r="X5" s="61">
        <v>2500000</v>
      </c>
      <c r="Y5" s="15"/>
      <c r="Z5" s="17"/>
      <c r="AA5" s="18"/>
    </row>
    <row r="6" spans="1:29" s="8" customFormat="1" x14ac:dyDescent="0.25">
      <c r="A6" s="4"/>
      <c r="B6" s="4"/>
      <c r="C6" s="4"/>
      <c r="D6" s="4"/>
      <c r="E6" s="15"/>
      <c r="F6" s="15"/>
      <c r="G6" s="15"/>
      <c r="H6" s="15"/>
      <c r="I6" s="15"/>
      <c r="J6" s="15"/>
      <c r="K6" s="15"/>
      <c r="L6" s="16"/>
      <c r="M6" s="68"/>
      <c r="N6" s="15"/>
      <c r="O6" s="15"/>
      <c r="P6" s="15"/>
      <c r="Q6" s="15"/>
      <c r="R6" s="15"/>
      <c r="S6" s="15"/>
      <c r="T6" s="20" t="s">
        <v>64</v>
      </c>
      <c r="U6" s="15"/>
      <c r="V6" s="68"/>
      <c r="W6" s="68"/>
      <c r="X6" s="68"/>
      <c r="Y6" s="15"/>
      <c r="Z6" s="17"/>
      <c r="AA6" s="18"/>
    </row>
    <row r="7" spans="1:29" s="8" customFormat="1" ht="15" hidden="1" customHeight="1" x14ac:dyDescent="0.25">
      <c r="A7" s="13" t="s">
        <v>4</v>
      </c>
      <c r="B7" s="4"/>
      <c r="C7" s="4"/>
      <c r="D7" s="4"/>
      <c r="E7" s="20"/>
      <c r="F7" s="20"/>
      <c r="G7" s="20"/>
      <c r="H7" s="20"/>
      <c r="I7" s="20"/>
      <c r="J7" s="20">
        <v>0</v>
      </c>
      <c r="K7" s="20">
        <v>0</v>
      </c>
      <c r="L7" s="21">
        <f>ROUND(SUM(E7:K7),5)</f>
        <v>0</v>
      </c>
      <c r="M7" s="19"/>
      <c r="N7" s="20"/>
      <c r="O7" s="20"/>
      <c r="P7" s="20"/>
      <c r="Q7" s="20"/>
      <c r="R7" s="20"/>
      <c r="S7" s="20"/>
      <c r="T7" s="20"/>
      <c r="U7" s="20"/>
      <c r="V7" s="19"/>
      <c r="W7" s="19"/>
      <c r="X7" s="19"/>
      <c r="Y7" s="20" t="e">
        <f>4400000-#REF!</f>
        <v>#REF!</v>
      </c>
      <c r="Z7" s="22" t="e">
        <f>SUM(N7:Y7)</f>
        <v>#REF!</v>
      </c>
      <c r="AA7" s="23" t="e">
        <f>SUM(#REF!+L7)</f>
        <v>#REF!</v>
      </c>
      <c r="AC7" s="24"/>
    </row>
    <row r="8" spans="1:29" s="8" customFormat="1" ht="15" hidden="1" customHeight="1" x14ac:dyDescent="0.25">
      <c r="A8" s="13" t="s">
        <v>5</v>
      </c>
      <c r="B8" s="4"/>
      <c r="C8" s="4"/>
      <c r="D8" s="4"/>
      <c r="E8" s="20"/>
      <c r="F8" s="20"/>
      <c r="G8" s="20"/>
      <c r="H8" s="20"/>
      <c r="I8" s="20"/>
      <c r="J8" s="19">
        <v>28000</v>
      </c>
      <c r="K8" s="20">
        <f>100000+679151+800000</f>
        <v>1579151</v>
      </c>
      <c r="L8" s="21">
        <f>ROUND(SUM(E8:K8),5)</f>
        <v>1607151</v>
      </c>
      <c r="M8" s="19"/>
      <c r="N8" s="20"/>
      <c r="O8" s="20"/>
      <c r="P8" s="20"/>
      <c r="Q8" s="20"/>
      <c r="R8" s="20"/>
      <c r="S8" s="20"/>
      <c r="T8" s="20"/>
      <c r="U8" s="20"/>
      <c r="V8" s="19"/>
      <c r="W8" s="19"/>
      <c r="X8" s="19"/>
      <c r="Y8" s="20" t="e">
        <f>4500000-#REF!-#REF!-#REF!-#REF!-#REF!-#REF!-#REF!-#REF!-#REF!-#REF!</f>
        <v>#REF!</v>
      </c>
      <c r="Z8" s="22" t="e">
        <f>SUM(N8:Y8)</f>
        <v>#REF!</v>
      </c>
      <c r="AA8" s="23" t="e">
        <f>SUM(#REF!+L8)</f>
        <v>#REF!</v>
      </c>
      <c r="AC8" s="24"/>
    </row>
    <row r="9" spans="1:29" s="8" customFormat="1" ht="15.75" hidden="1" customHeight="1" x14ac:dyDescent="0.25">
      <c r="A9" s="13" t="s">
        <v>6</v>
      </c>
      <c r="B9" s="4"/>
      <c r="C9" s="4"/>
      <c r="D9" s="4"/>
      <c r="E9" s="26"/>
      <c r="F9" s="26"/>
      <c r="G9" s="26"/>
      <c r="H9" s="26"/>
      <c r="I9" s="26"/>
      <c r="J9" s="25">
        <v>28000</v>
      </c>
      <c r="K9" s="26">
        <v>24400</v>
      </c>
      <c r="L9" s="27">
        <f>ROUND(SUM(E9:K9),5)</f>
        <v>52400</v>
      </c>
      <c r="M9" s="25"/>
      <c r="N9" s="26"/>
      <c r="O9" s="26"/>
      <c r="P9" s="26"/>
      <c r="Q9" s="26"/>
      <c r="R9" s="26"/>
      <c r="S9" s="26"/>
      <c r="T9" s="26"/>
      <c r="U9" s="26"/>
      <c r="V9" s="25"/>
      <c r="W9" s="25"/>
      <c r="X9" s="25"/>
      <c r="Y9" s="26">
        <v>100000</v>
      </c>
      <c r="Z9" s="28">
        <f>SUM(N9:Y9)</f>
        <v>100000</v>
      </c>
      <c r="AA9" s="29" t="e">
        <f>SUM(#REF!+L9)</f>
        <v>#REF!</v>
      </c>
      <c r="AC9" s="24"/>
    </row>
    <row r="10" spans="1:29" s="8" customFormat="1" ht="15" hidden="1" customHeight="1" x14ac:dyDescent="0.25">
      <c r="A10" s="13" t="s">
        <v>7</v>
      </c>
      <c r="B10" s="4"/>
      <c r="C10" s="4"/>
      <c r="D10" s="4"/>
      <c r="E10" s="20"/>
      <c r="F10" s="20"/>
      <c r="G10" s="20"/>
      <c r="H10" s="20"/>
      <c r="I10" s="20"/>
      <c r="J10" s="20">
        <f>+J7+J8-J9</f>
        <v>0</v>
      </c>
      <c r="K10" s="20">
        <f>+K7+K8-K9</f>
        <v>1554751</v>
      </c>
      <c r="L10" s="21">
        <f>ROUND(SUM(E10:K10),5)</f>
        <v>1554751</v>
      </c>
      <c r="M10" s="19"/>
      <c r="N10" s="20"/>
      <c r="O10" s="20"/>
      <c r="P10" s="20"/>
      <c r="Q10" s="20"/>
      <c r="R10" s="20"/>
      <c r="S10" s="20"/>
      <c r="T10" s="20"/>
      <c r="U10" s="20"/>
      <c r="V10" s="19"/>
      <c r="W10" s="19"/>
      <c r="X10" s="19"/>
      <c r="Y10" s="20" t="e">
        <f t="shared" ref="Y10" si="0">+Y7+Y8-Y9</f>
        <v>#REF!</v>
      </c>
      <c r="Z10" s="22" t="e">
        <f>SUM(N10:Y10)</f>
        <v>#REF!</v>
      </c>
      <c r="AA10" s="23" t="e">
        <f>SUM(#REF!+L10)</f>
        <v>#REF!</v>
      </c>
      <c r="AC10" s="24"/>
    </row>
    <row r="11" spans="1:29" s="8" customFormat="1" ht="15" customHeight="1" x14ac:dyDescent="0.25">
      <c r="A11" s="13" t="s">
        <v>52</v>
      </c>
      <c r="B11" s="4"/>
      <c r="C11" s="4"/>
      <c r="D11" s="4"/>
      <c r="E11" s="79">
        <v>-249150</v>
      </c>
      <c r="F11" s="79">
        <v>-1242000</v>
      </c>
      <c r="G11" s="79">
        <v>-250000</v>
      </c>
      <c r="H11" s="79">
        <v>-108700</v>
      </c>
      <c r="I11" s="79">
        <v>-2091000</v>
      </c>
      <c r="J11" s="20"/>
      <c r="K11" s="20"/>
      <c r="L11" s="21"/>
      <c r="M11" s="69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69">
        <v>0</v>
      </c>
      <c r="W11" s="69">
        <v>0</v>
      </c>
      <c r="X11" s="69">
        <v>0</v>
      </c>
      <c r="Y11" s="20"/>
      <c r="Z11" s="22"/>
      <c r="AA11" s="23"/>
      <c r="AC11" s="24"/>
    </row>
    <row r="12" spans="1:29" s="8" customFormat="1" ht="15" customHeight="1" x14ac:dyDescent="0.25">
      <c r="A12" s="13" t="s">
        <v>53</v>
      </c>
      <c r="B12" s="4"/>
      <c r="C12" s="4"/>
      <c r="D12" s="4"/>
      <c r="E12" s="19">
        <f t="shared" ref="E12:F12" si="1">SUM(E5:E11)</f>
        <v>750850</v>
      </c>
      <c r="F12" s="19">
        <f t="shared" si="1"/>
        <v>758000</v>
      </c>
      <c r="G12" s="19">
        <f>SUM(G5:G11)</f>
        <v>250000</v>
      </c>
      <c r="H12" s="19">
        <f t="shared" ref="H12" si="2">SUM(H5:H11)</f>
        <v>191300</v>
      </c>
      <c r="I12" s="19">
        <f>SUM(I5:I11)</f>
        <v>269000</v>
      </c>
      <c r="J12" s="20"/>
      <c r="K12" s="20"/>
      <c r="L12" s="21"/>
      <c r="M12" s="19">
        <f t="shared" ref="M12:X12" si="3">SUM(M5:M11)</f>
        <v>212500</v>
      </c>
      <c r="N12" s="19">
        <f t="shared" si="3"/>
        <v>200000</v>
      </c>
      <c r="O12" s="19">
        <f t="shared" si="3"/>
        <v>150000</v>
      </c>
      <c r="P12" s="19">
        <f t="shared" si="3"/>
        <v>1000000</v>
      </c>
      <c r="Q12" s="19">
        <f t="shared" si="3"/>
        <v>25000</v>
      </c>
      <c r="R12" s="19">
        <f t="shared" si="3"/>
        <v>75000</v>
      </c>
      <c r="S12" s="19">
        <f t="shared" si="3"/>
        <v>250000</v>
      </c>
      <c r="T12" s="19">
        <f t="shared" si="3"/>
        <v>725000</v>
      </c>
      <c r="U12" s="19">
        <f t="shared" si="3"/>
        <v>1000000</v>
      </c>
      <c r="V12" s="19">
        <f t="shared" si="3"/>
        <v>5000000</v>
      </c>
      <c r="W12" s="19">
        <f t="shared" ref="W12" si="4">SUM(W5:W11)</f>
        <v>2500000</v>
      </c>
      <c r="X12" s="19">
        <f t="shared" si="3"/>
        <v>2500000</v>
      </c>
      <c r="Y12" s="20"/>
      <c r="Z12" s="22"/>
      <c r="AA12" s="23"/>
      <c r="AC12" s="24"/>
    </row>
    <row r="13" spans="1:29" s="8" customFormat="1" ht="15" customHeight="1" x14ac:dyDescent="0.25">
      <c r="E13" s="20"/>
      <c r="F13" s="20"/>
      <c r="G13" s="20"/>
      <c r="H13" s="20"/>
      <c r="I13" s="20"/>
      <c r="J13" s="20"/>
      <c r="K13" s="20"/>
      <c r="L13" s="21"/>
      <c r="M13" s="19"/>
      <c r="N13" s="20"/>
      <c r="O13" s="20"/>
      <c r="P13" s="20"/>
      <c r="Q13" s="20"/>
      <c r="R13" s="20"/>
      <c r="S13" s="20"/>
      <c r="T13" s="20"/>
      <c r="U13" s="20"/>
      <c r="V13" s="19"/>
      <c r="W13" s="19"/>
      <c r="X13" s="19"/>
      <c r="Y13" s="20"/>
      <c r="Z13" s="22"/>
      <c r="AA13" s="23"/>
      <c r="AC13" s="24"/>
    </row>
    <row r="14" spans="1:29" s="8" customFormat="1" ht="15" customHeight="1" x14ac:dyDescent="0.25">
      <c r="A14" s="13"/>
      <c r="B14" s="4"/>
      <c r="C14" s="4"/>
      <c r="D14" s="4"/>
      <c r="E14" s="20"/>
      <c r="F14" s="20"/>
      <c r="G14" s="20"/>
      <c r="H14" s="20"/>
      <c r="I14" s="20"/>
      <c r="J14" s="20"/>
      <c r="K14" s="20"/>
      <c r="L14" s="21"/>
      <c r="M14" s="19"/>
      <c r="N14" s="20"/>
      <c r="O14" s="20"/>
      <c r="P14" s="20"/>
      <c r="Q14" s="20"/>
      <c r="R14" s="20"/>
      <c r="S14" s="20"/>
      <c r="T14" s="20"/>
      <c r="U14" s="20"/>
      <c r="V14" s="19"/>
      <c r="W14" s="19"/>
      <c r="X14" s="19"/>
      <c r="Y14" s="20"/>
      <c r="Z14" s="22"/>
      <c r="AA14" s="23"/>
      <c r="AC14" s="24"/>
    </row>
    <row r="15" spans="1:29" x14ac:dyDescent="0.25">
      <c r="A15" s="13" t="s">
        <v>63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78">
        <v>1000000</v>
      </c>
      <c r="L15" s="33">
        <f>ROUND(SUM(E15:K15),5)</f>
        <v>1000000</v>
      </c>
      <c r="M15" s="76">
        <v>212500</v>
      </c>
      <c r="N15" s="76">
        <f t="shared" ref="N15:X15" si="5">+N12</f>
        <v>200000</v>
      </c>
      <c r="O15" s="76">
        <f t="shared" si="5"/>
        <v>150000</v>
      </c>
      <c r="P15" s="76">
        <f t="shared" si="5"/>
        <v>1000000</v>
      </c>
      <c r="Q15" s="76">
        <f t="shared" si="5"/>
        <v>25000</v>
      </c>
      <c r="R15" s="76">
        <f t="shared" si="5"/>
        <v>75000</v>
      </c>
      <c r="S15" s="76">
        <f t="shared" si="5"/>
        <v>250000</v>
      </c>
      <c r="T15" s="76">
        <f t="shared" si="5"/>
        <v>725000</v>
      </c>
      <c r="U15" s="76">
        <f t="shared" si="5"/>
        <v>1000000</v>
      </c>
      <c r="V15" s="76">
        <f t="shared" ref="V15:W15" si="6">+V12</f>
        <v>5000000</v>
      </c>
      <c r="W15" s="76">
        <f t="shared" si="6"/>
        <v>2500000</v>
      </c>
      <c r="X15" s="76">
        <f t="shared" si="5"/>
        <v>2500000</v>
      </c>
      <c r="Y15" s="78">
        <f>1362500+50000</f>
        <v>1412500</v>
      </c>
      <c r="Z15" s="34">
        <f>SUM(M15:Y15)</f>
        <v>15050000</v>
      </c>
      <c r="AA15" s="35">
        <f>SUM(Z15+L15)</f>
        <v>16050000</v>
      </c>
    </row>
    <row r="16" spans="1:29" x14ac:dyDescent="0.25">
      <c r="E16" s="36"/>
      <c r="F16" s="36"/>
      <c r="G16" s="36"/>
      <c r="H16" s="36"/>
      <c r="I16" s="36"/>
      <c r="J16" s="36"/>
      <c r="K16" s="36"/>
      <c r="L16" s="37"/>
      <c r="M16" s="76"/>
      <c r="N16" s="36"/>
      <c r="O16" s="36"/>
      <c r="P16" s="36"/>
      <c r="Q16" s="36"/>
      <c r="R16" s="36"/>
      <c r="S16" s="36"/>
      <c r="T16" s="36"/>
      <c r="U16" s="36"/>
      <c r="V16" s="31"/>
      <c r="W16" s="31"/>
      <c r="X16" s="31"/>
      <c r="Y16" s="36"/>
      <c r="Z16" s="38"/>
      <c r="AA16" s="39"/>
    </row>
    <row r="17" spans="2:27" x14ac:dyDescent="0.25">
      <c r="C17" s="1" t="s">
        <v>8</v>
      </c>
      <c r="E17" s="36"/>
      <c r="F17" s="36"/>
      <c r="G17" s="36"/>
      <c r="H17" s="36"/>
      <c r="I17" s="36"/>
      <c r="J17" s="36"/>
      <c r="K17" s="36"/>
      <c r="L17" s="37"/>
      <c r="M17" s="76"/>
      <c r="N17" s="36"/>
      <c r="O17" s="36"/>
      <c r="P17" s="36"/>
      <c r="Q17" s="36"/>
      <c r="R17" s="36"/>
      <c r="S17" s="36"/>
      <c r="T17" s="36"/>
      <c r="U17" s="36"/>
      <c r="V17" s="31"/>
      <c r="W17" s="31"/>
      <c r="X17" s="31"/>
      <c r="Y17" s="36"/>
      <c r="Z17" s="38"/>
      <c r="AA17" s="39"/>
    </row>
    <row r="18" spans="2:27" x14ac:dyDescent="0.25">
      <c r="D18" s="1" t="s">
        <v>33</v>
      </c>
      <c r="E18" s="36">
        <f t="shared" ref="E18" si="7">E12</f>
        <v>750850</v>
      </c>
      <c r="F18" s="36">
        <f>F12</f>
        <v>758000</v>
      </c>
      <c r="G18" s="36">
        <v>250000</v>
      </c>
      <c r="H18" s="36">
        <v>191300</v>
      </c>
      <c r="I18" s="36">
        <f>I12</f>
        <v>269000</v>
      </c>
      <c r="J18" s="36">
        <v>0</v>
      </c>
      <c r="K18" s="36">
        <v>0</v>
      </c>
      <c r="L18" s="37">
        <f t="shared" ref="L18:L24" si="8">ROUND(SUM(E18:K18),5)</f>
        <v>2219150</v>
      </c>
      <c r="M18" s="31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1">
        <v>0</v>
      </c>
      <c r="W18" s="31">
        <v>0</v>
      </c>
      <c r="X18" s="31">
        <v>0</v>
      </c>
      <c r="Y18" s="36">
        <v>0</v>
      </c>
      <c r="Z18" s="34">
        <f t="shared" ref="Z18:Z24" si="9">SUM(M18:Y18)</f>
        <v>0</v>
      </c>
      <c r="AA18" s="35">
        <f t="shared" ref="AA18:AA24" si="10">SUM(Z18+L18)</f>
        <v>2219150</v>
      </c>
    </row>
    <row r="19" spans="2:27" x14ac:dyDescent="0.25">
      <c r="D19" s="1" t="s">
        <v>9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6">
        <v>0</v>
      </c>
      <c r="K19" s="36">
        <v>2000</v>
      </c>
      <c r="L19" s="37">
        <f t="shared" si="8"/>
        <v>2000</v>
      </c>
      <c r="M19" s="31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1">
        <v>0</v>
      </c>
      <c r="W19" s="31">
        <v>0</v>
      </c>
      <c r="X19" s="31">
        <v>0</v>
      </c>
      <c r="Y19" s="31">
        <v>25000</v>
      </c>
      <c r="Z19" s="34">
        <f t="shared" si="9"/>
        <v>25000</v>
      </c>
      <c r="AA19" s="35">
        <f t="shared" si="10"/>
        <v>27000</v>
      </c>
    </row>
    <row r="20" spans="2:27" x14ac:dyDescent="0.25">
      <c r="D20" s="1" t="s">
        <v>27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596000</v>
      </c>
      <c r="K20" s="36">
        <v>0</v>
      </c>
      <c r="L20" s="37">
        <f t="shared" si="8"/>
        <v>596000</v>
      </c>
      <c r="M20" s="31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1">
        <v>0</v>
      </c>
      <c r="W20" s="31">
        <v>0</v>
      </c>
      <c r="X20" s="31">
        <v>0</v>
      </c>
      <c r="Y20" s="36">
        <v>0</v>
      </c>
      <c r="Z20" s="34">
        <f t="shared" si="9"/>
        <v>0</v>
      </c>
      <c r="AA20" s="35">
        <f t="shared" si="10"/>
        <v>596000</v>
      </c>
    </row>
    <row r="21" spans="2:27" x14ac:dyDescent="0.25">
      <c r="D21" s="1" t="s">
        <v>10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6">
        <v>0</v>
      </c>
      <c r="K21" s="36">
        <v>0</v>
      </c>
      <c r="L21" s="37">
        <f t="shared" si="8"/>
        <v>0</v>
      </c>
      <c r="M21" s="31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1">
        <v>0</v>
      </c>
      <c r="W21" s="31">
        <v>0</v>
      </c>
      <c r="X21" s="31">
        <v>0</v>
      </c>
      <c r="Y21" s="36">
        <v>0</v>
      </c>
      <c r="Z21" s="34">
        <f t="shared" si="9"/>
        <v>0</v>
      </c>
      <c r="AA21" s="35">
        <f t="shared" si="10"/>
        <v>0</v>
      </c>
    </row>
    <row r="22" spans="2:27" x14ac:dyDescent="0.25">
      <c r="D22" s="1" t="s">
        <v>11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6">
        <v>0</v>
      </c>
      <c r="K22" s="36">
        <v>0</v>
      </c>
      <c r="L22" s="37">
        <f t="shared" si="8"/>
        <v>0</v>
      </c>
      <c r="M22" s="31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1">
        <v>0</v>
      </c>
      <c r="W22" s="31">
        <v>0</v>
      </c>
      <c r="X22" s="31">
        <v>0</v>
      </c>
      <c r="Y22" s="36">
        <v>0</v>
      </c>
      <c r="Z22" s="34">
        <f t="shared" si="9"/>
        <v>0</v>
      </c>
      <c r="AA22" s="35">
        <f t="shared" si="10"/>
        <v>0</v>
      </c>
    </row>
    <row r="23" spans="2:27" x14ac:dyDescent="0.25">
      <c r="D23" s="1" t="s">
        <v>46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6">
        <v>0</v>
      </c>
      <c r="K23" s="36">
        <v>212500</v>
      </c>
      <c r="L23" s="37">
        <f t="shared" si="8"/>
        <v>212500</v>
      </c>
      <c r="M23" s="31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1">
        <v>0</v>
      </c>
      <c r="W23" s="31">
        <v>0</v>
      </c>
      <c r="X23" s="31">
        <v>0</v>
      </c>
      <c r="Y23" s="36">
        <v>0</v>
      </c>
      <c r="Z23" s="34">
        <f t="shared" si="9"/>
        <v>0</v>
      </c>
      <c r="AA23" s="35">
        <f t="shared" si="10"/>
        <v>212500</v>
      </c>
    </row>
    <row r="24" spans="2:27" ht="12.6" thickBot="1" x14ac:dyDescent="0.3">
      <c r="D24" s="1" t="s">
        <v>41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40">
        <v>0</v>
      </c>
      <c r="K24" s="40">
        <v>225000</v>
      </c>
      <c r="L24" s="33">
        <f t="shared" si="8"/>
        <v>225000</v>
      </c>
      <c r="M24" s="32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1">
        <v>0</v>
      </c>
      <c r="W24" s="31">
        <v>0</v>
      </c>
      <c r="X24" s="31">
        <v>0</v>
      </c>
      <c r="Y24" s="40">
        <v>0</v>
      </c>
      <c r="Z24" s="34">
        <f t="shared" si="9"/>
        <v>0</v>
      </c>
      <c r="AA24" s="35">
        <f t="shared" si="10"/>
        <v>225000</v>
      </c>
    </row>
    <row r="25" spans="2:27" ht="12.6" thickBot="1" x14ac:dyDescent="0.3">
      <c r="C25" s="1" t="s">
        <v>12</v>
      </c>
      <c r="E25" s="41">
        <f t="shared" ref="E25:I25" si="11">ROUND(SUM(E17:E24),5)</f>
        <v>750850</v>
      </c>
      <c r="F25" s="41">
        <f t="shared" si="11"/>
        <v>758000</v>
      </c>
      <c r="G25" s="41">
        <f t="shared" si="11"/>
        <v>250000</v>
      </c>
      <c r="H25" s="41">
        <f t="shared" si="11"/>
        <v>191300</v>
      </c>
      <c r="I25" s="41">
        <f t="shared" si="11"/>
        <v>269000</v>
      </c>
      <c r="J25" s="41">
        <f>ROUND(SUM(J17:J24),0)</f>
        <v>596000</v>
      </c>
      <c r="K25" s="41">
        <f>ROUND(SUM(K17:K24),5)</f>
        <v>439500</v>
      </c>
      <c r="L25" s="42">
        <f>SUM(L18:L24)</f>
        <v>3254650</v>
      </c>
      <c r="M25" s="70">
        <f t="shared" ref="M25:AA25" si="12">ROUND(SUM(M17:M24),5)</f>
        <v>0</v>
      </c>
      <c r="N25" s="41">
        <f t="shared" si="12"/>
        <v>0</v>
      </c>
      <c r="O25" s="41">
        <f t="shared" si="12"/>
        <v>0</v>
      </c>
      <c r="P25" s="41">
        <f t="shared" si="12"/>
        <v>0</v>
      </c>
      <c r="Q25" s="41">
        <f t="shared" si="12"/>
        <v>0</v>
      </c>
      <c r="R25" s="41">
        <f t="shared" si="12"/>
        <v>0</v>
      </c>
      <c r="S25" s="41">
        <f t="shared" si="12"/>
        <v>0</v>
      </c>
      <c r="T25" s="41">
        <f t="shared" si="12"/>
        <v>0</v>
      </c>
      <c r="U25" s="41">
        <f t="shared" si="12"/>
        <v>0</v>
      </c>
      <c r="V25" s="70">
        <f t="shared" ref="V25:W25" si="13">ROUND(SUM(V17:V24),5)</f>
        <v>0</v>
      </c>
      <c r="W25" s="70">
        <f t="shared" si="13"/>
        <v>0</v>
      </c>
      <c r="X25" s="70">
        <f t="shared" si="12"/>
        <v>0</v>
      </c>
      <c r="Y25" s="41">
        <f t="shared" si="12"/>
        <v>25000</v>
      </c>
      <c r="Z25" s="43">
        <f t="shared" si="12"/>
        <v>25000</v>
      </c>
      <c r="AA25" s="44">
        <f t="shared" si="12"/>
        <v>3279650</v>
      </c>
    </row>
    <row r="26" spans="2:27" x14ac:dyDescent="0.25">
      <c r="E26" s="40"/>
      <c r="F26" s="40"/>
      <c r="G26" s="40"/>
      <c r="H26" s="40"/>
      <c r="I26" s="40"/>
      <c r="J26" s="40"/>
      <c r="K26" s="40"/>
      <c r="L26" s="45"/>
      <c r="M26" s="76"/>
      <c r="N26" s="40"/>
      <c r="O26" s="40"/>
      <c r="P26" s="40"/>
      <c r="Q26" s="40"/>
      <c r="R26" s="40"/>
      <c r="S26" s="40"/>
      <c r="T26" s="40"/>
      <c r="U26" s="40"/>
      <c r="V26" s="32"/>
      <c r="W26" s="32"/>
      <c r="X26" s="32"/>
      <c r="Y26" s="40"/>
      <c r="Z26" s="46"/>
      <c r="AA26" s="47"/>
    </row>
    <row r="27" spans="2:27" ht="12.6" thickBot="1" x14ac:dyDescent="0.3">
      <c r="B27" s="1" t="s">
        <v>13</v>
      </c>
      <c r="E27" s="63">
        <f t="shared" ref="E27:K27" si="14">E15+E25</f>
        <v>750850</v>
      </c>
      <c r="F27" s="63">
        <f t="shared" si="14"/>
        <v>758000</v>
      </c>
      <c r="G27" s="63">
        <f t="shared" si="14"/>
        <v>250000</v>
      </c>
      <c r="H27" s="63">
        <f t="shared" si="14"/>
        <v>191300</v>
      </c>
      <c r="I27" s="63">
        <f t="shared" si="14"/>
        <v>269000</v>
      </c>
      <c r="J27" s="63">
        <f t="shared" si="14"/>
        <v>596000</v>
      </c>
      <c r="K27" s="63">
        <f t="shared" si="14"/>
        <v>1439500</v>
      </c>
      <c r="L27" s="64">
        <f>+L25+L15</f>
        <v>4254650</v>
      </c>
      <c r="M27" s="71">
        <f t="shared" ref="M27:AA27" si="15">M15+M25</f>
        <v>212500</v>
      </c>
      <c r="N27" s="63">
        <f t="shared" si="15"/>
        <v>200000</v>
      </c>
      <c r="O27" s="63">
        <f t="shared" si="15"/>
        <v>150000</v>
      </c>
      <c r="P27" s="63">
        <f t="shared" si="15"/>
        <v>1000000</v>
      </c>
      <c r="Q27" s="63">
        <f t="shared" si="15"/>
        <v>25000</v>
      </c>
      <c r="R27" s="63">
        <f t="shared" si="15"/>
        <v>75000</v>
      </c>
      <c r="S27" s="63">
        <f t="shared" si="15"/>
        <v>250000</v>
      </c>
      <c r="T27" s="63">
        <f t="shared" si="15"/>
        <v>725000</v>
      </c>
      <c r="U27" s="63">
        <f t="shared" si="15"/>
        <v>1000000</v>
      </c>
      <c r="V27" s="71">
        <f t="shared" ref="V27:W27" si="16">V15+V25</f>
        <v>5000000</v>
      </c>
      <c r="W27" s="71">
        <f t="shared" si="16"/>
        <v>2500000</v>
      </c>
      <c r="X27" s="71">
        <f t="shared" si="15"/>
        <v>2500000</v>
      </c>
      <c r="Y27" s="63">
        <f t="shared" si="15"/>
        <v>1437500</v>
      </c>
      <c r="Z27" s="65">
        <f t="shared" si="15"/>
        <v>15075000</v>
      </c>
      <c r="AA27" s="66">
        <f t="shared" si="15"/>
        <v>19329650</v>
      </c>
    </row>
    <row r="28" spans="2:27" ht="12.6" thickTop="1" x14ac:dyDescent="0.25">
      <c r="E28" s="36"/>
      <c r="F28" s="36"/>
      <c r="G28" s="36"/>
      <c r="H28" s="36"/>
      <c r="I28" s="36"/>
      <c r="J28" s="36"/>
      <c r="K28" s="36"/>
      <c r="L28" s="33"/>
      <c r="M28" s="76"/>
      <c r="N28" s="36"/>
      <c r="O28" s="36"/>
      <c r="P28" s="36"/>
      <c r="Q28" s="36"/>
      <c r="R28" s="36"/>
      <c r="S28" s="36"/>
      <c r="T28" s="36"/>
      <c r="U28" s="36"/>
      <c r="V28" s="31"/>
      <c r="W28" s="31"/>
      <c r="X28" s="31"/>
      <c r="Y28" s="36"/>
      <c r="Z28" s="34"/>
      <c r="AA28" s="39"/>
    </row>
    <row r="29" spans="2:27" x14ac:dyDescent="0.25">
      <c r="C29" s="1" t="s">
        <v>14</v>
      </c>
      <c r="E29" s="36"/>
      <c r="F29" s="36"/>
      <c r="G29" s="36"/>
      <c r="H29" s="36"/>
      <c r="I29" s="36"/>
      <c r="J29" s="36"/>
      <c r="K29" s="36"/>
      <c r="L29" s="33"/>
      <c r="M29" s="76"/>
      <c r="N29" s="36"/>
      <c r="O29" s="36"/>
      <c r="P29" s="36"/>
      <c r="Q29" s="36"/>
      <c r="R29" s="36"/>
      <c r="S29" s="36"/>
      <c r="T29" s="36"/>
      <c r="U29" s="36"/>
      <c r="V29" s="31"/>
      <c r="W29" s="31"/>
      <c r="X29" s="31"/>
      <c r="Y29" s="36"/>
      <c r="Z29" s="34"/>
      <c r="AA29" s="39"/>
    </row>
    <row r="30" spans="2:27" x14ac:dyDescent="0.25">
      <c r="D30" s="1" t="s">
        <v>29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1">
        <v>0</v>
      </c>
      <c r="K30" s="31">
        <v>200000</v>
      </c>
      <c r="L30" s="37">
        <f t="shared" ref="L30:L42" si="17">ROUND(SUM(E30:K30),5)</f>
        <v>200000</v>
      </c>
      <c r="M30" s="31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1">
        <v>0</v>
      </c>
      <c r="W30" s="31">
        <v>0</v>
      </c>
      <c r="X30" s="31">
        <v>0</v>
      </c>
      <c r="Y30" s="36">
        <v>0</v>
      </c>
      <c r="Z30" s="34">
        <f t="shared" ref="Z30:Z42" si="18">SUM(M30:Y30)</f>
        <v>0</v>
      </c>
      <c r="AA30" s="35">
        <f t="shared" ref="AA30:AA42" si="19">SUM(Z30+L30)</f>
        <v>200000</v>
      </c>
    </row>
    <row r="31" spans="2:27" x14ac:dyDescent="0.25">
      <c r="D31" s="1" t="s">
        <v>19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1">
        <v>0</v>
      </c>
      <c r="K31" s="31">
        <v>1500</v>
      </c>
      <c r="L31" s="37">
        <f t="shared" si="17"/>
        <v>1500</v>
      </c>
      <c r="M31" s="31">
        <v>0</v>
      </c>
      <c r="N31" s="36">
        <v>0</v>
      </c>
      <c r="O31" s="31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1">
        <v>0</v>
      </c>
      <c r="W31" s="31">
        <v>0</v>
      </c>
      <c r="X31" s="31">
        <v>0</v>
      </c>
      <c r="Y31" s="36">
        <v>0</v>
      </c>
      <c r="Z31" s="34">
        <f t="shared" si="18"/>
        <v>0</v>
      </c>
      <c r="AA31" s="35">
        <f t="shared" si="19"/>
        <v>1500</v>
      </c>
    </row>
    <row r="32" spans="2:27" x14ac:dyDescent="0.25">
      <c r="D32" s="1" t="s">
        <v>28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1">
        <v>0</v>
      </c>
      <c r="K32" s="31">
        <v>2500</v>
      </c>
      <c r="L32" s="37">
        <f t="shared" si="17"/>
        <v>2500</v>
      </c>
      <c r="M32" s="31">
        <v>0</v>
      </c>
      <c r="N32" s="36">
        <v>0</v>
      </c>
      <c r="O32" s="31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1">
        <v>0</v>
      </c>
      <c r="W32" s="31">
        <v>0</v>
      </c>
      <c r="X32" s="31">
        <v>0</v>
      </c>
      <c r="Y32" s="36">
        <v>0</v>
      </c>
      <c r="Z32" s="34">
        <f t="shared" si="18"/>
        <v>0</v>
      </c>
      <c r="AA32" s="35">
        <f t="shared" si="19"/>
        <v>2500</v>
      </c>
    </row>
    <row r="33" spans="1:27" x14ac:dyDescent="0.25">
      <c r="D33" s="1" t="s">
        <v>15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1">
        <v>40000</v>
      </c>
      <c r="K33" s="31">
        <v>0</v>
      </c>
      <c r="L33" s="37">
        <f t="shared" si="17"/>
        <v>40000</v>
      </c>
      <c r="M33" s="31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1">
        <v>0</v>
      </c>
      <c r="W33" s="31">
        <v>0</v>
      </c>
      <c r="X33" s="31">
        <v>0</v>
      </c>
      <c r="Y33" s="36">
        <v>0</v>
      </c>
      <c r="Z33" s="34">
        <f t="shared" si="18"/>
        <v>0</v>
      </c>
      <c r="AA33" s="35">
        <f t="shared" si="19"/>
        <v>40000</v>
      </c>
    </row>
    <row r="34" spans="1:27" x14ac:dyDescent="0.25">
      <c r="D34" s="1" t="s">
        <v>16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1">
        <v>30000</v>
      </c>
      <c r="K34" s="31">
        <v>0</v>
      </c>
      <c r="L34" s="37">
        <f t="shared" si="17"/>
        <v>30000</v>
      </c>
      <c r="M34" s="31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1">
        <v>0</v>
      </c>
      <c r="W34" s="31">
        <v>0</v>
      </c>
      <c r="X34" s="31">
        <v>0</v>
      </c>
      <c r="Y34" s="36">
        <v>0</v>
      </c>
      <c r="Z34" s="34">
        <f t="shared" si="18"/>
        <v>0</v>
      </c>
      <c r="AA34" s="35">
        <f t="shared" si="19"/>
        <v>30000</v>
      </c>
    </row>
    <row r="35" spans="1:27" x14ac:dyDescent="0.25">
      <c r="D35" s="1" t="s">
        <v>17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1">
        <v>250000</v>
      </c>
      <c r="K35" s="31">
        <v>0</v>
      </c>
      <c r="L35" s="37">
        <f t="shared" si="17"/>
        <v>250000</v>
      </c>
      <c r="M35" s="31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1">
        <v>0</v>
      </c>
      <c r="W35" s="31">
        <v>0</v>
      </c>
      <c r="X35" s="31">
        <v>0</v>
      </c>
      <c r="Y35" s="36">
        <v>0</v>
      </c>
      <c r="Z35" s="34">
        <f t="shared" si="18"/>
        <v>0</v>
      </c>
      <c r="AA35" s="35">
        <f t="shared" si="19"/>
        <v>250000</v>
      </c>
    </row>
    <row r="36" spans="1:27" x14ac:dyDescent="0.25">
      <c r="D36" s="1" t="s">
        <v>18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1">
        <v>100000</v>
      </c>
      <c r="K36" s="31">
        <v>0</v>
      </c>
      <c r="L36" s="37">
        <f t="shared" si="17"/>
        <v>100000</v>
      </c>
      <c r="M36" s="31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1">
        <v>0</v>
      </c>
      <c r="W36" s="31">
        <v>0</v>
      </c>
      <c r="X36" s="31">
        <v>0</v>
      </c>
      <c r="Y36" s="36">
        <v>0</v>
      </c>
      <c r="Z36" s="34">
        <f t="shared" si="18"/>
        <v>0</v>
      </c>
      <c r="AA36" s="35">
        <f t="shared" si="19"/>
        <v>100000</v>
      </c>
    </row>
    <row r="37" spans="1:27" x14ac:dyDescent="0.25">
      <c r="D37" s="1" t="s">
        <v>20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1">
        <v>176000</v>
      </c>
      <c r="K37" s="31">
        <v>0</v>
      </c>
      <c r="L37" s="37">
        <f t="shared" si="17"/>
        <v>176000</v>
      </c>
      <c r="M37" s="31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1">
        <v>0</v>
      </c>
      <c r="W37" s="31">
        <v>0</v>
      </c>
      <c r="X37" s="31">
        <v>0</v>
      </c>
      <c r="Y37" s="36">
        <v>0</v>
      </c>
      <c r="Z37" s="34">
        <f t="shared" si="18"/>
        <v>0</v>
      </c>
      <c r="AA37" s="35">
        <f t="shared" si="19"/>
        <v>176000</v>
      </c>
    </row>
    <row r="38" spans="1:27" x14ac:dyDescent="0.25">
      <c r="D38" s="1" t="s">
        <v>30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1">
        <v>0</v>
      </c>
      <c r="K38" s="31">
        <v>5000</v>
      </c>
      <c r="L38" s="37">
        <f t="shared" si="17"/>
        <v>5000</v>
      </c>
      <c r="M38" s="31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1">
        <v>0</v>
      </c>
      <c r="W38" s="31">
        <v>0</v>
      </c>
      <c r="X38" s="31">
        <v>0</v>
      </c>
      <c r="Y38" s="36">
        <v>0</v>
      </c>
      <c r="Z38" s="34">
        <f t="shared" si="18"/>
        <v>0</v>
      </c>
      <c r="AA38" s="35">
        <f t="shared" si="19"/>
        <v>5000</v>
      </c>
    </row>
    <row r="39" spans="1:27" x14ac:dyDescent="0.25">
      <c r="D39" s="1" t="s">
        <v>36</v>
      </c>
      <c r="E39" s="36">
        <v>0</v>
      </c>
      <c r="F39" s="36">
        <v>0</v>
      </c>
      <c r="G39" s="36">
        <v>250000</v>
      </c>
      <c r="H39" s="36">
        <v>191300</v>
      </c>
      <c r="I39" s="36">
        <v>0</v>
      </c>
      <c r="J39" s="31">
        <v>0</v>
      </c>
      <c r="K39" s="31">
        <v>0</v>
      </c>
      <c r="L39" s="37">
        <f t="shared" si="17"/>
        <v>441300</v>
      </c>
      <c r="M39" s="31">
        <v>0</v>
      </c>
      <c r="N39" s="36">
        <v>200000</v>
      </c>
      <c r="O39" s="36">
        <v>150000</v>
      </c>
      <c r="P39" s="36">
        <v>0</v>
      </c>
      <c r="Q39" s="36">
        <v>25000</v>
      </c>
      <c r="R39" s="36">
        <v>75000</v>
      </c>
      <c r="S39" s="36">
        <v>0</v>
      </c>
      <c r="T39" s="36">
        <v>0</v>
      </c>
      <c r="U39" s="36">
        <v>0</v>
      </c>
      <c r="V39" s="31">
        <v>0</v>
      </c>
      <c r="W39" s="31">
        <v>0</v>
      </c>
      <c r="X39" s="31">
        <v>0</v>
      </c>
      <c r="Y39" s="36">
        <v>0</v>
      </c>
      <c r="Z39" s="34">
        <f t="shared" si="18"/>
        <v>450000</v>
      </c>
      <c r="AA39" s="35">
        <f t="shared" si="19"/>
        <v>891300</v>
      </c>
    </row>
    <row r="40" spans="1:27" x14ac:dyDescent="0.25">
      <c r="D40" s="1" t="s">
        <v>21</v>
      </c>
      <c r="E40" s="36">
        <v>750850</v>
      </c>
      <c r="F40" s="36">
        <v>758000</v>
      </c>
      <c r="G40" s="36">
        <v>0</v>
      </c>
      <c r="H40" s="36">
        <v>0</v>
      </c>
      <c r="I40" s="36">
        <v>269000</v>
      </c>
      <c r="J40" s="31">
        <v>0</v>
      </c>
      <c r="K40" s="31">
        <v>0</v>
      </c>
      <c r="L40" s="37">
        <f t="shared" si="17"/>
        <v>1777850</v>
      </c>
      <c r="M40" s="31">
        <v>0</v>
      </c>
      <c r="N40" s="36">
        <v>0</v>
      </c>
      <c r="O40" s="36">
        <v>0</v>
      </c>
      <c r="P40" s="36">
        <v>1000000</v>
      </c>
      <c r="Q40" s="36">
        <v>0</v>
      </c>
      <c r="R40" s="36">
        <v>0</v>
      </c>
      <c r="S40" s="36">
        <v>250000</v>
      </c>
      <c r="T40" s="36">
        <v>725000</v>
      </c>
      <c r="U40" s="36">
        <v>1000000</v>
      </c>
      <c r="V40" s="31">
        <v>5000000</v>
      </c>
      <c r="W40" s="31">
        <v>2500000</v>
      </c>
      <c r="X40" s="31">
        <v>2500000</v>
      </c>
      <c r="Y40" s="36">
        <v>0</v>
      </c>
      <c r="Z40" s="34">
        <f t="shared" si="18"/>
        <v>12975000</v>
      </c>
      <c r="AA40" s="35">
        <f t="shared" si="19"/>
        <v>14752850</v>
      </c>
    </row>
    <row r="41" spans="1:27" x14ac:dyDescent="0.25">
      <c r="D41" s="1" t="s">
        <v>26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2">
        <v>0</v>
      </c>
      <c r="K41" s="32">
        <v>650000</v>
      </c>
      <c r="L41" s="33">
        <f t="shared" si="17"/>
        <v>650000</v>
      </c>
      <c r="M41" s="32">
        <v>0</v>
      </c>
      <c r="N41" s="36">
        <v>0</v>
      </c>
      <c r="O41" s="36">
        <v>0</v>
      </c>
      <c r="P41" s="36">
        <v>0</v>
      </c>
      <c r="Q41" s="31">
        <v>0</v>
      </c>
      <c r="R41" s="31">
        <v>0</v>
      </c>
      <c r="S41" s="31">
        <v>0</v>
      </c>
      <c r="T41" s="36">
        <v>0</v>
      </c>
      <c r="U41" s="36">
        <v>0</v>
      </c>
      <c r="V41" s="31">
        <v>0</v>
      </c>
      <c r="W41" s="31">
        <v>0</v>
      </c>
      <c r="X41" s="31">
        <v>0</v>
      </c>
      <c r="Y41" s="40">
        <v>0</v>
      </c>
      <c r="Z41" s="34">
        <f t="shared" si="18"/>
        <v>0</v>
      </c>
      <c r="AA41" s="35">
        <f t="shared" si="19"/>
        <v>650000</v>
      </c>
    </row>
    <row r="42" spans="1:27" ht="12.6" thickBot="1" x14ac:dyDescent="0.3">
      <c r="D42" s="1" t="s">
        <v>40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2">
        <v>0</v>
      </c>
      <c r="K42" s="32">
        <v>0</v>
      </c>
      <c r="L42" s="33">
        <f t="shared" si="17"/>
        <v>0</v>
      </c>
      <c r="M42" s="32">
        <v>212500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1">
        <v>0</v>
      </c>
      <c r="W42" s="31">
        <v>0</v>
      </c>
      <c r="X42" s="31">
        <v>0</v>
      </c>
      <c r="Y42" s="40">
        <v>0</v>
      </c>
      <c r="Z42" s="34">
        <f t="shared" si="18"/>
        <v>212500</v>
      </c>
      <c r="AA42" s="35">
        <f t="shared" si="19"/>
        <v>212500</v>
      </c>
    </row>
    <row r="43" spans="1:27" ht="12.6" thickBot="1" x14ac:dyDescent="0.3">
      <c r="C43" s="1" t="s">
        <v>22</v>
      </c>
      <c r="E43" s="48">
        <f t="shared" ref="E43:I43" si="20">ROUND(SUM(E29:E42),0)</f>
        <v>750850</v>
      </c>
      <c r="F43" s="48">
        <f t="shared" si="20"/>
        <v>758000</v>
      </c>
      <c r="G43" s="48">
        <f t="shared" si="20"/>
        <v>250000</v>
      </c>
      <c r="H43" s="48">
        <f t="shared" si="20"/>
        <v>191300</v>
      </c>
      <c r="I43" s="48">
        <f t="shared" si="20"/>
        <v>269000</v>
      </c>
      <c r="J43" s="48">
        <f>ROUND(SUM(J29:J42),0)</f>
        <v>596000</v>
      </c>
      <c r="K43" s="48">
        <f t="shared" ref="K43" si="21">ROUND(SUM(K29:K42),0)</f>
        <v>859000</v>
      </c>
      <c r="L43" s="45">
        <f>SUM(L30:L42)</f>
        <v>3674150</v>
      </c>
      <c r="M43" s="70">
        <f t="shared" ref="M43:Z43" si="22">ROUND(SUM(M29:M42),5)</f>
        <v>212500</v>
      </c>
      <c r="N43" s="48">
        <f t="shared" si="22"/>
        <v>200000</v>
      </c>
      <c r="O43" s="48">
        <f t="shared" si="22"/>
        <v>150000</v>
      </c>
      <c r="P43" s="48">
        <f t="shared" si="22"/>
        <v>1000000</v>
      </c>
      <c r="Q43" s="48">
        <f t="shared" si="22"/>
        <v>25000</v>
      </c>
      <c r="R43" s="48">
        <f t="shared" si="22"/>
        <v>75000</v>
      </c>
      <c r="S43" s="48">
        <f t="shared" si="22"/>
        <v>250000</v>
      </c>
      <c r="T43" s="48">
        <f t="shared" si="22"/>
        <v>725000</v>
      </c>
      <c r="U43" s="48">
        <f t="shared" si="22"/>
        <v>1000000</v>
      </c>
      <c r="V43" s="72">
        <f t="shared" ref="V43" si="23">ROUND(SUM(V29:V42),5)</f>
        <v>5000000</v>
      </c>
      <c r="W43" s="72">
        <f>ROUND(SUM(W29:W42),5)</f>
        <v>2500000</v>
      </c>
      <c r="X43" s="72">
        <f t="shared" si="22"/>
        <v>2500000</v>
      </c>
      <c r="Y43" s="48">
        <f t="shared" si="22"/>
        <v>0</v>
      </c>
      <c r="Z43" s="49">
        <f t="shared" si="22"/>
        <v>13637500</v>
      </c>
      <c r="AA43" s="50">
        <f>ROUND(SUM(AA29:AA42),5)</f>
        <v>17311650</v>
      </c>
    </row>
    <row r="44" spans="1:27" x14ac:dyDescent="0.25">
      <c r="E44" s="48"/>
      <c r="F44" s="48"/>
      <c r="G44" s="48"/>
      <c r="H44" s="48"/>
      <c r="I44" s="48"/>
      <c r="J44" s="48"/>
      <c r="K44" s="48"/>
      <c r="L44" s="45"/>
      <c r="M44" s="77"/>
      <c r="N44" s="48"/>
      <c r="O44" s="48"/>
      <c r="P44" s="48"/>
      <c r="Q44" s="48"/>
      <c r="R44" s="48"/>
      <c r="S44" s="48"/>
      <c r="T44" s="48"/>
      <c r="U44" s="48"/>
      <c r="V44" s="72"/>
      <c r="W44" s="72"/>
      <c r="X44" s="72"/>
      <c r="Y44" s="48"/>
      <c r="Z44" s="49"/>
      <c r="AA44" s="50"/>
    </row>
    <row r="45" spans="1:27" s="53" customFormat="1" x14ac:dyDescent="0.25">
      <c r="A45" s="1"/>
      <c r="B45" s="1"/>
      <c r="C45" s="1"/>
      <c r="D45" s="1"/>
      <c r="E45" s="54"/>
      <c r="F45" s="54"/>
      <c r="G45" s="54"/>
      <c r="H45" s="54"/>
      <c r="I45" s="54"/>
      <c r="J45" s="54"/>
      <c r="K45" s="54"/>
      <c r="L45" s="55"/>
      <c r="M45" s="77"/>
      <c r="N45" s="54"/>
      <c r="O45" s="54"/>
      <c r="P45" s="54"/>
      <c r="Q45" s="54"/>
      <c r="R45" s="54"/>
      <c r="S45" s="54"/>
      <c r="T45" s="54"/>
      <c r="U45" s="54"/>
      <c r="V45" s="73"/>
      <c r="W45" s="73"/>
      <c r="X45" s="73"/>
      <c r="Y45" s="54"/>
      <c r="Z45" s="56"/>
      <c r="AA45" s="57"/>
    </row>
    <row r="46" spans="1:27" ht="12.6" thickBot="1" x14ac:dyDescent="0.3">
      <c r="A46" s="1" t="s">
        <v>54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580500</v>
      </c>
      <c r="L46" s="59">
        <f>SUM(E46:K46)</f>
        <v>580500</v>
      </c>
      <c r="M46" s="60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74">
        <v>0</v>
      </c>
      <c r="W46" s="74">
        <v>0</v>
      </c>
      <c r="X46" s="74">
        <v>0</v>
      </c>
      <c r="Y46" s="58">
        <v>1437500</v>
      </c>
      <c r="Z46" s="34">
        <f>SUM(M46:Y46)</f>
        <v>1437500</v>
      </c>
      <c r="AA46" s="35">
        <f>SUM(Z46+L46)</f>
        <v>2018000</v>
      </c>
    </row>
    <row r="47" spans="1:27" ht="12.6" thickBot="1" x14ac:dyDescent="0.3">
      <c r="B47" s="1" t="s">
        <v>55</v>
      </c>
      <c r="E47" s="51">
        <f t="shared" ref="E47:J47" si="24">SUM(E43:E46)</f>
        <v>750850</v>
      </c>
      <c r="F47" s="51">
        <f t="shared" si="24"/>
        <v>758000</v>
      </c>
      <c r="G47" s="51">
        <f t="shared" si="24"/>
        <v>250000</v>
      </c>
      <c r="H47" s="51">
        <f t="shared" si="24"/>
        <v>191300</v>
      </c>
      <c r="I47" s="51">
        <f t="shared" si="24"/>
        <v>269000</v>
      </c>
      <c r="J47" s="51">
        <f t="shared" si="24"/>
        <v>596000</v>
      </c>
      <c r="K47" s="51">
        <f>SUM(K43:K46)</f>
        <v>1439500</v>
      </c>
      <c r="L47" s="52">
        <f>ROUND(SUM(E47:K47),5)</f>
        <v>4254650</v>
      </c>
      <c r="M47" s="75">
        <f t="shared" ref="M47" si="25">SUM(M43:M46)</f>
        <v>212500</v>
      </c>
      <c r="N47" s="51">
        <f t="shared" ref="N47" si="26">SUM(N43:N46)</f>
        <v>200000</v>
      </c>
      <c r="O47" s="51">
        <f t="shared" ref="O47" si="27">SUM(O43:O46)</f>
        <v>150000</v>
      </c>
      <c r="P47" s="51">
        <f t="shared" ref="P47" si="28">SUM(P43:P46)</f>
        <v>1000000</v>
      </c>
      <c r="Q47" s="51">
        <f t="shared" ref="Q47:S47" si="29">SUM(Q43:Q46)</f>
        <v>25000</v>
      </c>
      <c r="R47" s="51">
        <f t="shared" si="29"/>
        <v>75000</v>
      </c>
      <c r="S47" s="51">
        <f t="shared" si="29"/>
        <v>250000</v>
      </c>
      <c r="T47" s="51">
        <f t="shared" ref="T47" si="30">SUM(T43:T46)</f>
        <v>725000</v>
      </c>
      <c r="U47" s="51">
        <f t="shared" ref="U47" si="31">SUM(U43:U46)</f>
        <v>1000000</v>
      </c>
      <c r="V47" s="75">
        <f t="shared" ref="V47:X47" si="32">SUM(V43:V46)</f>
        <v>5000000</v>
      </c>
      <c r="W47" s="75">
        <f t="shared" ref="W47" si="33">SUM(W43:W46)</f>
        <v>2500000</v>
      </c>
      <c r="X47" s="75">
        <f t="shared" si="32"/>
        <v>2500000</v>
      </c>
      <c r="Y47" s="51">
        <f t="shared" ref="Y47" si="34">SUM(Y43:Y46)</f>
        <v>1437500</v>
      </c>
      <c r="Z47" s="51">
        <f t="shared" ref="Z47" si="35">SUM(Z43:Z46)</f>
        <v>15075000</v>
      </c>
      <c r="AA47" s="51">
        <f t="shared" ref="AA47" si="36">SUM(AA43:AA46)</f>
        <v>19329650</v>
      </c>
    </row>
    <row r="48" spans="1:27" ht="12.6" thickTop="1" x14ac:dyDescent="0.25"/>
    <row r="51" spans="5:27" x14ac:dyDescent="0.25">
      <c r="E51" s="60">
        <f t="shared" ref="E51:Z51" si="37">ROUND(+E27-E47,0)</f>
        <v>0</v>
      </c>
      <c r="F51" s="60">
        <f t="shared" si="37"/>
        <v>0</v>
      </c>
      <c r="G51" s="60">
        <f t="shared" si="37"/>
        <v>0</v>
      </c>
      <c r="H51" s="60">
        <f t="shared" si="37"/>
        <v>0</v>
      </c>
      <c r="I51" s="60">
        <f t="shared" si="37"/>
        <v>0</v>
      </c>
      <c r="J51" s="60">
        <f t="shared" si="37"/>
        <v>0</v>
      </c>
      <c r="K51" s="60">
        <f t="shared" si="37"/>
        <v>0</v>
      </c>
      <c r="L51" s="60">
        <f t="shared" si="37"/>
        <v>0</v>
      </c>
      <c r="M51" s="60">
        <f t="shared" si="37"/>
        <v>0</v>
      </c>
      <c r="N51" s="60">
        <f t="shared" si="37"/>
        <v>0</v>
      </c>
      <c r="O51" s="60">
        <f t="shared" si="37"/>
        <v>0</v>
      </c>
      <c r="P51" s="60">
        <f t="shared" si="37"/>
        <v>0</v>
      </c>
      <c r="Q51" s="60">
        <f t="shared" si="37"/>
        <v>0</v>
      </c>
      <c r="R51" s="60">
        <f t="shared" si="37"/>
        <v>0</v>
      </c>
      <c r="S51" s="60">
        <f t="shared" si="37"/>
        <v>0</v>
      </c>
      <c r="T51" s="60">
        <f t="shared" si="37"/>
        <v>0</v>
      </c>
      <c r="U51" s="60">
        <f t="shared" si="37"/>
        <v>0</v>
      </c>
      <c r="V51" s="60">
        <f t="shared" ref="V51:W51" si="38">ROUND(+V27-V47,0)</f>
        <v>0</v>
      </c>
      <c r="W51" s="60">
        <f t="shared" si="38"/>
        <v>0</v>
      </c>
      <c r="X51" s="60">
        <f t="shared" si="37"/>
        <v>0</v>
      </c>
      <c r="Y51" s="60">
        <f t="shared" si="37"/>
        <v>0</v>
      </c>
      <c r="Z51" s="60">
        <f t="shared" si="37"/>
        <v>0</v>
      </c>
      <c r="AA51" s="60">
        <f>ROUND(+AA27-AA47,0)</f>
        <v>0</v>
      </c>
    </row>
  </sheetData>
  <mergeCells count="3">
    <mergeCell ref="E1:AA1"/>
    <mergeCell ref="E2:L2"/>
    <mergeCell ref="M2:Z2"/>
  </mergeCells>
  <pageMargins left="0.5" right="0.25" top="0.75" bottom="0.75" header="0.3" footer="0"/>
  <pageSetup paperSize="5" scale="52" orientation="landscape" r:id="rId1"/>
  <headerFooter>
    <oddHeader xml:space="preserve">&amp;CHardee County Industrial Development Authority
Budget for the year ended September 30, 2023
 - &amp;"-,Bold"General Fund / S. Ft. Meade Mine Agreement
&amp;"-,Regular"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FYE 2023</vt:lpstr>
    </vt:vector>
  </TitlesOfParts>
  <Company>WBW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P. Cox</dc:creator>
  <cp:lastModifiedBy>Hardee EDC</cp:lastModifiedBy>
  <cp:lastPrinted>2022-09-16T18:10:36Z</cp:lastPrinted>
  <dcterms:created xsi:type="dcterms:W3CDTF">2013-07-08T18:24:24Z</dcterms:created>
  <dcterms:modified xsi:type="dcterms:W3CDTF">2022-09-16T20:47:03Z</dcterms:modified>
</cp:coreProperties>
</file>